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9. Fideicomiso\"/>
    </mc:Choice>
  </mc:AlternateContent>
  <xr:revisionPtr revIDLastSave="0" documentId="8_{560DBEDC-3AE2-4BC1-A2C7-3E9290A880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3yr_CashFlow 7M" sheetId="10" r:id="rId1"/>
    <sheet name="Supuestos" sheetId="9" r:id="rId2"/>
  </sheets>
  <definedNames>
    <definedName name="_xlnm.Print_Area" localSheetId="0">'3yr_CashFlow 7M'!$A$1:$AN$23</definedName>
    <definedName name="valuevx">42.314159</definedName>
    <definedName name="vertex42_copyright" hidden="1">"© 2008-2015 Vertex42 LLC"</definedName>
    <definedName name="vertex42_id" hidden="1">"cash-flow-statement.xlsx"</definedName>
    <definedName name="vertex42_title" hidden="1">"Cash Flow Statement"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0" l="1"/>
  <c r="AJ8" i="10" s="1"/>
  <c r="Z15" i="10"/>
  <c r="AH14" i="10"/>
  <c r="R14" i="10"/>
  <c r="D37" i="10"/>
  <c r="AK15" i="10" s="1"/>
  <c r="D36" i="10"/>
  <c r="AK14" i="10" s="1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H22" i="10" s="1"/>
  <c r="G8" i="10"/>
  <c r="G22" i="10" s="1"/>
  <c r="F8" i="10"/>
  <c r="F22" i="10" s="1"/>
  <c r="E8" i="10"/>
  <c r="E22" i="10" s="1"/>
  <c r="D8" i="10"/>
  <c r="D7" i="10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B29" i="9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28" i="9"/>
  <c r="AN21" i="10"/>
  <c r="D13" i="10"/>
  <c r="AN13" i="10" s="1"/>
  <c r="D12" i="10"/>
  <c r="AN12" i="10" s="1"/>
  <c r="D11" i="10"/>
  <c r="AN11" i="10" s="1"/>
  <c r="AN9" i="10"/>
  <c r="I22" i="10"/>
  <c r="X14" i="10" l="1"/>
  <c r="P15" i="10"/>
  <c r="AF15" i="10"/>
  <c r="Z14" i="10"/>
  <c r="Z22" i="10" s="1"/>
  <c r="R15" i="10"/>
  <c r="AH15" i="10"/>
  <c r="P14" i="10"/>
  <c r="P22" i="10" s="1"/>
  <c r="AF14" i="10"/>
  <c r="AF22" i="10" s="1"/>
  <c r="X15" i="10"/>
  <c r="T14" i="10"/>
  <c r="AB14" i="10"/>
  <c r="AB22" i="10" s="1"/>
  <c r="AJ14" i="10"/>
  <c r="AJ22" i="10" s="1"/>
  <c r="T15" i="10"/>
  <c r="AB15" i="10"/>
  <c r="AJ15" i="10"/>
  <c r="V14" i="10"/>
  <c r="V22" i="10" s="1"/>
  <c r="AD14" i="10"/>
  <c r="AL14" i="10"/>
  <c r="V15" i="10"/>
  <c r="AD15" i="10"/>
  <c r="AD22" i="10" s="1"/>
  <c r="AL15" i="10"/>
  <c r="AK22" i="10"/>
  <c r="R22" i="10"/>
  <c r="S14" i="10"/>
  <c r="W14" i="10"/>
  <c r="AA14" i="10"/>
  <c r="AE14" i="10"/>
  <c r="AI14" i="10"/>
  <c r="AM14" i="10"/>
  <c r="S15" i="10"/>
  <c r="W15" i="10"/>
  <c r="AA15" i="10"/>
  <c r="AE15" i="10"/>
  <c r="AI15" i="10"/>
  <c r="AM15" i="10"/>
  <c r="Q14" i="10"/>
  <c r="Q22" i="10" s="1"/>
  <c r="U14" i="10"/>
  <c r="Y14" i="10"/>
  <c r="AC14" i="10"/>
  <c r="AG14" i="10"/>
  <c r="Q15" i="10"/>
  <c r="U15" i="10"/>
  <c r="Y15" i="10"/>
  <c r="AC15" i="10"/>
  <c r="AG15" i="10"/>
  <c r="AL22" i="10"/>
  <c r="AH22" i="10"/>
  <c r="X22" i="10"/>
  <c r="T22" i="10"/>
  <c r="L22" i="10"/>
  <c r="AN8" i="10"/>
  <c r="AN14" i="10"/>
  <c r="J22" i="10"/>
  <c r="N22" i="10"/>
  <c r="M22" i="10"/>
  <c r="K22" i="10"/>
  <c r="O22" i="10"/>
  <c r="AN15" i="10"/>
  <c r="D20" i="10"/>
  <c r="AN20" i="10" s="1"/>
  <c r="AN7" i="10"/>
  <c r="D16" i="10"/>
  <c r="AN16" i="10" s="1"/>
  <c r="D18" i="10"/>
  <c r="AN18" i="10" s="1"/>
  <c r="D17" i="10"/>
  <c r="AN17" i="10" s="1"/>
  <c r="D19" i="10"/>
  <c r="AN19" i="10" s="1"/>
  <c r="AC22" i="10" l="1"/>
  <c r="AM22" i="10"/>
  <c r="W22" i="10"/>
  <c r="AE22" i="10"/>
  <c r="AI22" i="10"/>
  <c r="S22" i="10"/>
  <c r="U22" i="10"/>
  <c r="AG22" i="10"/>
  <c r="Y22" i="10"/>
  <c r="AA22" i="10"/>
  <c r="D22" i="10"/>
  <c r="AN22" i="10" s="1"/>
  <c r="C13" i="9" l="1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C27" i="9" s="1"/>
  <c r="B13" i="9"/>
  <c r="C4" i="9"/>
  <c r="C5" i="9"/>
  <c r="C6" i="9"/>
  <c r="C7" i="9"/>
  <c r="C8" i="9"/>
  <c r="C9" i="9"/>
  <c r="C10" i="9"/>
  <c r="C11" i="9"/>
  <c r="C12" i="9"/>
  <c r="C3" i="9"/>
  <c r="C20" i="9" l="1"/>
  <c r="C23" i="9"/>
  <c r="C19" i="9"/>
  <c r="C15" i="9"/>
  <c r="C24" i="9"/>
  <c r="C26" i="9"/>
  <c r="C22" i="9"/>
  <c r="C18" i="9"/>
  <c r="C14" i="9"/>
  <c r="C16" i="9"/>
  <c r="C25" i="9"/>
  <c r="C21" i="9"/>
  <c r="C17" i="9"/>
</calcChain>
</file>

<file path=xl/sharedStrings.xml><?xml version="1.0" encoding="utf-8"?>
<sst xmlns="http://schemas.openxmlformats.org/spreadsheetml/2006/main" count="116" uniqueCount="115">
  <si>
    <t>Retribucion del Fiduciario</t>
  </si>
  <si>
    <t>Retribucion del Agente de Control y Revision</t>
  </si>
  <si>
    <t>Honorarios Legales</t>
  </si>
  <si>
    <t>Comision por colocacion 0,75%</t>
  </si>
  <si>
    <t>Arancel CNV 0,04%</t>
  </si>
  <si>
    <t>Honorarios Organizador 0,5%</t>
  </si>
  <si>
    <t>Direccion integral del proyecto 1,5%</t>
  </si>
  <si>
    <t>Ingresos</t>
  </si>
  <si>
    <t>Egresos</t>
  </si>
  <si>
    <t>Pagos de Intereses</t>
  </si>
  <si>
    <t>Pagos de Capital</t>
  </si>
  <si>
    <t>Operativos</t>
  </si>
  <si>
    <t>Net Cash Flow Operativos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</si>
  <si>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</si>
  <si>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</si>
  <si>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</si>
  <si>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</si>
  <si>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</si>
  <si>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</si>
  <si>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</si>
  <si>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</si>
  <si>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</si>
  <si>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</si>
  <si>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</si>
  <si>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</si>
  <si>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Total</t>
  </si>
  <si>
    <t>Posición</t>
  </si>
  <si>
    <t>Ajuste</t>
  </si>
  <si>
    <t>DLR042021</t>
  </si>
  <si>
    <t>DLR052021</t>
  </si>
  <si>
    <t>DLR062021</t>
  </si>
  <si>
    <t>DLR072021</t>
  </si>
  <si>
    <t>DLR082021</t>
  </si>
  <si>
    <t>DLR092021</t>
  </si>
  <si>
    <t>DLR102021</t>
  </si>
  <si>
    <t>DLR112021</t>
  </si>
  <si>
    <t>DLR122021</t>
  </si>
  <si>
    <t>DLR012022</t>
  </si>
  <si>
    <t>DLR022022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</si>
  <si>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</si>
  <si>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</si>
  <si>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</si>
  <si>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</si>
  <si>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</si>
  <si>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</si>
  <si>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</si>
  <si>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</si>
  <si>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</si>
  <si>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</si>
  <si>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DLR032022</t>
  </si>
  <si>
    <t>DLR042022</t>
  </si>
  <si>
    <t>DLR052022</t>
  </si>
  <si>
    <t>DLR062022</t>
  </si>
  <si>
    <t>DLR072022</t>
  </si>
  <si>
    <t>DLR082022</t>
  </si>
  <si>
    <t>DLR092022</t>
  </si>
  <si>
    <t>DLR102022</t>
  </si>
  <si>
    <t>DLR112022</t>
  </si>
  <si>
    <t>DLR122022</t>
  </si>
  <si>
    <t>DLR022023</t>
  </si>
  <si>
    <t>DLR012023</t>
  </si>
  <si>
    <t>DLR032023</t>
  </si>
  <si>
    <t>DLR042023</t>
  </si>
  <si>
    <t>DLR052023</t>
  </si>
  <si>
    <t>En Base a cotizacion de Matba-Rofex</t>
  </si>
  <si>
    <t>Contribucion inical al fonde de gastos 0,3%</t>
  </si>
  <si>
    <t>Fondos provenientes de Emision</t>
  </si>
  <si>
    <t>Dólar 28/04</t>
  </si>
  <si>
    <t>Especie</t>
  </si>
  <si>
    <t>Último</t>
  </si>
  <si>
    <t>% Día</t>
  </si>
  <si>
    <t>% Mes</t>
  </si>
  <si>
    <t>% Año</t>
  </si>
  <si>
    <t>DOLAR OFICIAL</t>
  </si>
  <si>
    <t>DOLAR MAYORISTA</t>
  </si>
  <si>
    <t>DOLAR SOLIDARIO</t>
  </si>
  <si>
    <t>DOLAR MEP</t>
  </si>
  <si>
    <t>DOLAR CCL</t>
  </si>
  <si>
    <t>Cobros por Incrementales al 10%</t>
  </si>
  <si>
    <t>Mes 23</t>
  </si>
  <si>
    <t>Mes 24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</si>
  <si>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</si>
  <si>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</si>
  <si>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</si>
  <si>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</si>
  <si>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</si>
  <si>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</si>
  <si>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</si>
  <si>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</si>
  <si>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</si>
  <si>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</si>
  <si>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</si>
  <si>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</si>
  <si>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DLR062023</t>
  </si>
  <si>
    <t>DLR072023</t>
  </si>
  <si>
    <t>DLR082023</t>
  </si>
  <si>
    <t>DLR092023</t>
  </si>
  <si>
    <t>DLR102023</t>
  </si>
  <si>
    <t>DLR112023</t>
  </si>
  <si>
    <t>DLR122023</t>
  </si>
  <si>
    <t>DLR012024</t>
  </si>
  <si>
    <t>DLR022024</t>
  </si>
  <si>
    <t>DLR042024</t>
  </si>
  <si>
    <t>DLR052024</t>
  </si>
  <si>
    <t>DLR062024</t>
  </si>
  <si>
    <t>DLR032024</t>
  </si>
  <si>
    <t>Capital a tomar USD</t>
  </si>
  <si>
    <t>TASA</t>
  </si>
  <si>
    <t>Incremental</t>
  </si>
  <si>
    <t>USD</t>
  </si>
  <si>
    <t>Capital</t>
  </si>
  <si>
    <t>Plazo Total</t>
  </si>
  <si>
    <t>Interes</t>
  </si>
  <si>
    <t>Empieza a pagar a partir del Mes 12</t>
  </si>
  <si>
    <t>36-Month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</si>
</sst>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* #,##0_);_(* \(#,##0\);_(* &quot;-&quot;_);_(@_)"/>
    <numFmt numFmtId="166" formatCode="_(&quot;$&quot;* #,##0.00_);_(&quot;$&quot;* \(#,##0.00\);_(&quot;$&quot;* &quot;-&quot;??_);_(@_)"/>
    <numFmt numFmtId="167" formatCode="mmm\'yy"/>
  </numFmts>
  <fonts count="36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6"/>
      <name val="Arial"/>
      <family val="1"/>
      <scheme val="major"/>
    </font>
    <font>
      <b/>
      <sz val="16"/>
      <color theme="4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u/>
      <sz val="10"/>
      <color indexed="12"/>
      <name val="Arial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b/>
      <sz val="6"/>
      <color rgb="FFFFFFFF"/>
      <name val="Roboto"/>
    </font>
    <font>
      <sz val="6"/>
      <color rgb="FF666666"/>
      <name val="Roboto"/>
    </font>
    <font>
      <b/>
      <sz val="7"/>
      <color rgb="FFFFFFFF"/>
      <name val="Arial"/>
      <family val="2"/>
    </font>
    <font>
      <b/>
      <sz val="5"/>
      <color rgb="FF000040"/>
      <name val="Arial"/>
      <family val="2"/>
    </font>
    <font>
      <sz val="7"/>
      <name val="Arial"/>
      <family val="2"/>
    </font>
    <font>
      <sz val="7"/>
      <color rgb="FF008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652F6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4B6F"/>
        <bgColor indexed="64"/>
      </patternFill>
    </fill>
    <fill>
      <patternFill patternType="solid">
        <fgColor rgb="FFE4E5ED"/>
        <bgColor indexed="64"/>
      </patternFill>
    </fill>
    <fill>
      <patternFill patternType="solid">
        <fgColor rgb="FFF5F5F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EE2E6"/>
      </top>
      <bottom style="medium">
        <color rgb="FFDEE2E6"/>
      </bottom>
      <diagonal/>
    </border>
    <border>
      <left/>
      <right/>
      <top style="medium">
        <color rgb="FFDEE2E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DEE2E6"/>
      </top>
      <bottom style="thin">
        <color indexed="64"/>
      </bottom>
      <diagonal/>
    </border>
    <border>
      <left/>
      <right/>
      <top style="medium">
        <color rgb="FFF3F3F3"/>
      </top>
      <bottom style="medium">
        <color rgb="FF939393"/>
      </bottom>
      <diagonal/>
    </border>
    <border>
      <left style="medium">
        <color rgb="FFEEEEEE"/>
      </left>
      <right/>
      <top style="medium">
        <color rgb="FFF3F3F3"/>
      </top>
      <bottom style="medium">
        <color rgb="FF939393"/>
      </bottom>
      <diagonal/>
    </border>
    <border>
      <left/>
      <right style="medium">
        <color rgb="FFEEEEEE"/>
      </right>
      <top style="medium">
        <color rgb="FFF3F3F3"/>
      </top>
      <bottom style="medium">
        <color rgb="FF939393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54">
    <xf numFmtId="0" fontId="0" fillId="0" borderId="0" xfId="0"/>
    <xf numFmtId="0" fontId="24" fillId="0" borderId="0" xfId="0" applyFont="1" applyAlignment="1">
      <alignment vertical="center"/>
    </xf>
    <xf numFmtId="165" fontId="24" fillId="0" borderId="0" xfId="28" applyNumberFormat="1" applyFont="1" applyBorder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3" fillId="20" borderId="0" xfId="0" applyFont="1" applyFill="1" applyAlignment="1">
      <alignment vertical="center"/>
    </xf>
    <xf numFmtId="0" fontId="25" fillId="21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8" fontId="24" fillId="0" borderId="7" xfId="28" applyNumberFormat="1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167" fontId="27" fillId="20" borderId="0" xfId="0" applyNumberFormat="1" applyFont="1" applyFill="1" applyAlignment="1">
      <alignment horizontal="center" vertical="center"/>
    </xf>
    <xf numFmtId="38" fontId="28" fillId="21" borderId="10" xfId="0" applyNumberFormat="1" applyFont="1" applyFill="1" applyBorder="1" applyAlignment="1">
      <alignment vertical="center"/>
    </xf>
    <xf numFmtId="0" fontId="1" fillId="0" borderId="0" xfId="0" applyFont="1"/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30" fillId="23" borderId="11" xfId="0" applyFont="1" applyFill="1" applyBorder="1" applyAlignment="1">
      <alignment horizontal="center" wrapText="1"/>
    </xf>
    <xf numFmtId="0" fontId="31" fillId="22" borderId="12" xfId="0" applyFont="1" applyFill="1" applyBorder="1" applyAlignment="1">
      <alignment vertical="top" wrapText="1"/>
    </xf>
    <xf numFmtId="166" fontId="31" fillId="22" borderId="12" xfId="28" applyFont="1" applyFill="1" applyBorder="1" applyAlignment="1">
      <alignment vertical="top" wrapText="1"/>
    </xf>
    <xf numFmtId="10" fontId="0" fillId="0" borderId="0" xfId="44" applyNumberFormat="1" applyFont="1"/>
    <xf numFmtId="164" fontId="0" fillId="0" borderId="0" xfId="0" applyNumberFormat="1"/>
    <xf numFmtId="0" fontId="31" fillId="22" borderId="0" xfId="0" applyFont="1" applyFill="1" applyBorder="1" applyAlignment="1">
      <alignment vertical="top" wrapText="1"/>
    </xf>
    <xf numFmtId="166" fontId="31" fillId="22" borderId="0" xfId="28" applyFont="1" applyFill="1" applyBorder="1" applyAlignment="1">
      <alignment vertical="top" wrapText="1"/>
    </xf>
    <xf numFmtId="0" fontId="31" fillId="22" borderId="14" xfId="0" applyFont="1" applyFill="1" applyBorder="1" applyAlignment="1">
      <alignment vertical="top" wrapText="1"/>
    </xf>
    <xf numFmtId="166" fontId="31" fillId="22" borderId="14" xfId="28" applyFont="1" applyFill="1" applyBorder="1" applyAlignment="1">
      <alignment vertical="top" wrapText="1"/>
    </xf>
    <xf numFmtId="10" fontId="0" fillId="0" borderId="13" xfId="44" applyNumberFormat="1" applyFont="1" applyBorder="1"/>
    <xf numFmtId="17" fontId="24" fillId="0" borderId="0" xfId="0" applyNumberFormat="1" applyFont="1" applyAlignment="1">
      <alignment vertical="center"/>
    </xf>
    <xf numFmtId="0" fontId="33" fillId="24" borderId="0" xfId="0" applyFont="1" applyFill="1" applyAlignment="1">
      <alignment horizontal="right" vertical="center" wrapText="1"/>
    </xf>
    <xf numFmtId="0" fontId="34" fillId="26" borderId="0" xfId="0" applyFont="1" applyFill="1" applyAlignment="1">
      <alignment horizontal="right" vertical="center" wrapText="1"/>
    </xf>
    <xf numFmtId="0" fontId="35" fillId="26" borderId="0" xfId="0" applyFont="1" applyFill="1" applyAlignment="1">
      <alignment horizontal="right" vertical="center" wrapText="1"/>
    </xf>
    <xf numFmtId="0" fontId="34" fillId="27" borderId="0" xfId="0" applyFont="1" applyFill="1" applyAlignment="1">
      <alignment horizontal="right" vertical="center" wrapText="1"/>
    </xf>
    <xf numFmtId="0" fontId="35" fillId="27" borderId="0" xfId="0" applyFont="1" applyFill="1" applyAlignment="1">
      <alignment horizontal="right" vertical="center" wrapText="1"/>
    </xf>
    <xf numFmtId="0" fontId="33" fillId="24" borderId="18" xfId="0" applyFont="1" applyFill="1" applyBorder="1" applyAlignment="1">
      <alignment horizontal="left" vertical="center" wrapText="1"/>
    </xf>
    <xf numFmtId="0" fontId="33" fillId="24" borderId="19" xfId="0" applyFont="1" applyFill="1" applyBorder="1" applyAlignment="1">
      <alignment horizontal="right" vertical="center" wrapText="1"/>
    </xf>
    <xf numFmtId="0" fontId="26" fillId="26" borderId="18" xfId="35" applyFill="1" applyBorder="1" applyAlignment="1" applyProtection="1">
      <alignment horizontal="left" vertical="center" wrapText="1"/>
    </xf>
    <xf numFmtId="0" fontId="35" fillId="26" borderId="19" xfId="0" applyFont="1" applyFill="1" applyBorder="1" applyAlignment="1">
      <alignment horizontal="right" vertical="center" wrapText="1"/>
    </xf>
    <xf numFmtId="0" fontId="26" fillId="27" borderId="18" xfId="35" applyFill="1" applyBorder="1" applyAlignment="1" applyProtection="1">
      <alignment horizontal="left" vertical="center" wrapText="1"/>
    </xf>
    <xf numFmtId="0" fontId="35" fillId="27" borderId="19" xfId="0" applyFont="1" applyFill="1" applyBorder="1" applyAlignment="1">
      <alignment horizontal="right" vertical="center" wrapText="1"/>
    </xf>
    <xf numFmtId="0" fontId="26" fillId="26" borderId="20" xfId="35" applyFill="1" applyBorder="1" applyAlignment="1" applyProtection="1">
      <alignment horizontal="left" vertical="center" wrapText="1"/>
    </xf>
    <xf numFmtId="0" fontId="34" fillId="26" borderId="21" xfId="0" applyFont="1" applyFill="1" applyBorder="1" applyAlignment="1">
      <alignment horizontal="right" vertical="center" wrapText="1"/>
    </xf>
    <xf numFmtId="0" fontId="35" fillId="26" borderId="21" xfId="0" applyFont="1" applyFill="1" applyBorder="1" applyAlignment="1">
      <alignment horizontal="right" vertical="center" wrapText="1"/>
    </xf>
    <xf numFmtId="0" fontId="35" fillId="26" borderId="22" xfId="0" applyFont="1" applyFill="1" applyBorder="1" applyAlignment="1">
      <alignment horizontal="right" vertical="center" wrapText="1"/>
    </xf>
    <xf numFmtId="166" fontId="24" fillId="0" borderId="7" xfId="28" applyFont="1" applyBorder="1" applyAlignment="1" applyProtection="1">
      <alignment vertical="center"/>
      <protection locked="0"/>
    </xf>
    <xf numFmtId="38" fontId="24" fillId="0" borderId="24" xfId="28" applyNumberFormat="1" applyFont="1" applyBorder="1" applyAlignment="1" applyProtection="1">
      <alignment vertical="center"/>
      <protection locked="0"/>
    </xf>
    <xf numFmtId="38" fontId="24" fillId="0" borderId="23" xfId="28" applyNumberFormat="1" applyFont="1" applyBorder="1" applyAlignment="1" applyProtection="1">
      <alignment vertical="center"/>
      <protection locked="0"/>
    </xf>
    <xf numFmtId="38" fontId="1" fillId="0" borderId="0" xfId="0" applyNumberFormat="1" applyFont="1" applyAlignment="1">
      <alignment vertical="center"/>
    </xf>
    <xf numFmtId="166" fontId="1" fillId="0" borderId="0" xfId="28" applyFont="1"/>
    <xf numFmtId="164" fontId="1" fillId="0" borderId="0" xfId="0" applyNumberFormat="1" applyFont="1"/>
    <xf numFmtId="38" fontId="24" fillId="0" borderId="25" xfId="28" applyNumberFormat="1" applyFont="1" applyBorder="1" applyAlignment="1" applyProtection="1">
      <alignment vertical="center"/>
      <protection locked="0"/>
    </xf>
    <xf numFmtId="0" fontId="1" fillId="0" borderId="13" xfId="0" applyFont="1" applyBorder="1"/>
    <xf numFmtId="166" fontId="1" fillId="0" borderId="13" xfId="28" applyFont="1" applyBorder="1"/>
    <xf numFmtId="9" fontId="1" fillId="0" borderId="0" xfId="0" applyNumberFormat="1" applyFont="1"/>
    <xf numFmtId="0" fontId="32" fillId="25" borderId="16" xfId="0" applyFont="1" applyFill="1" applyBorder="1" applyAlignment="1">
      <alignment horizontal="center" vertical="center" wrapText="1"/>
    </xf>
    <xf numFmtId="0" fontId="32" fillId="25" borderId="15" xfId="0" applyFont="1" applyFill="1" applyBorder="1" applyAlignment="1">
      <alignment horizontal="center" vertical="center" wrapText="1"/>
    </xf>
    <xf numFmtId="0" fontId="32" fillId="25" borderId="17" xfId="0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30" builtinId="26" customBuiltin="1"/>
    <cellStyle name="Cálculo" xfId="26" builtinId="22" customBuiltin="1"/>
    <cellStyle name="Celda de comprobación" xfId="27" builtinId="23" customBuiltin="1"/>
    <cellStyle name="Celda vinculada" xfId="37" builtinId="24" customBuiltin="1"/>
    <cellStyle name="Encabezado 1" xfId="31" builtinId="16" customBuiltin="1"/>
    <cellStyle name="Encabezado 4" xfId="34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6" builtinId="20" customBuiltin="1"/>
    <cellStyle name="Hipervínculo" xfId="35" builtinId="8" customBuiltin="1"/>
    <cellStyle name="Incorrecto" xfId="25" builtinId="27" customBuiltin="1"/>
    <cellStyle name="Moneda" xfId="28" builtinId="4"/>
    <cellStyle name="Neutral" xfId="38" builtinId="28" customBuiltin="1"/>
    <cellStyle name="Normal" xfId="0" builtinId="0" customBuiltin="1"/>
    <cellStyle name="Notas" xfId="39" builtinId="10" customBuiltin="1"/>
    <cellStyle name="Porcentaje" xfId="44" builtinId="5"/>
    <cellStyle name="Salida" xfId="40" builtinId="21" customBuiltin="1"/>
    <cellStyle name="Texto de advertencia" xfId="43" builtinId="11" customBuiltin="1"/>
    <cellStyle name="Texto explicativo" xfId="29" builtinId="53" customBuiltin="1"/>
    <cellStyle name="Título" xfId="41" builtinId="15" customBuiltin="1"/>
    <cellStyle name="Título 2" xfId="32" builtinId="17" customBuiltin="1"/>
    <cellStyle name="Título 3" xfId="33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ava.com/empresas/perfil.php?e=DOLAR%20SOLIDARIO" TargetMode="External"/><Relationship Id="rId2" Type="http://schemas.openxmlformats.org/officeDocument/2006/relationships/hyperlink" Target="https://www.rava.com/empresas/perfil.php?e=DOLAR%20MAYORISTA" TargetMode="External"/><Relationship Id="rId1" Type="http://schemas.openxmlformats.org/officeDocument/2006/relationships/hyperlink" Target="https://www.rava.com/empresas/perfil.php?e=DOLAR%20OFICIA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rava.com/empresas/perfil.php?e=DOLAR%20CCL" TargetMode="External"/><Relationship Id="rId4" Type="http://schemas.openxmlformats.org/officeDocument/2006/relationships/hyperlink" Target="https://www.rava.com/empresas/perfil.php?e=DOLAR%20ME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7EF2-F55C-478E-B72B-C3013B1DB9FA}">
  <sheetPr>
    <pageSetUpPr fitToPage="1"/>
  </sheetPr>
  <dimension ref="B1:AQ39"/>
  <sheetViews>
    <sheetView showGridLines="0" tabSelected="1" zoomScale="85" zoomScaleNormal="85" workbookViewId="0">
      <selection activeCell="AN7" sqref="AN7:AN8"/>
    </sheetView>
  </sheetViews>
  <sheetFormatPr baseColWidth="10" defaultColWidth="9" defaultRowHeight="12.75" x14ac:dyDescent="0.2"/>
  <cols>
    <col min="1" max="1" width="1.75" style="12" customWidth="1"/>
    <col min="2" max="2" width="3.375" style="12" customWidth="1"/>
    <col min="3" max="3" width="33.625" style="12" bestFit="1" customWidth="1"/>
    <col min="4" max="4" width="12.625" style="12" bestFit="1" customWidth="1"/>
    <col min="5" max="5" width="13.125" style="12" bestFit="1" customWidth="1"/>
    <col min="6" max="8" width="10.75" style="12" bestFit="1" customWidth="1"/>
    <col min="9" max="10" width="11.75" style="12" bestFit="1" customWidth="1"/>
    <col min="11" max="15" width="10.75" style="12" bestFit="1" customWidth="1"/>
    <col min="16" max="39" width="14.125" style="12" bestFit="1" customWidth="1"/>
    <col min="40" max="40" width="11.375" style="12" bestFit="1" customWidth="1"/>
    <col min="41" max="41" width="10" style="12" bestFit="1" customWidth="1"/>
    <col min="42" max="42" width="9" style="12"/>
    <col min="43" max="43" width="10" style="12" bestFit="1" customWidth="1"/>
    <col min="44" max="16384" width="9" style="12"/>
  </cols>
  <sheetData>
    <row r="1" spans="2:43" s="6" customFormat="1" ht="20.25" x14ac:dyDescent="0.2">
      <c r="B1" s="8"/>
      <c r="C1" s="8"/>
      <c r="D1" s="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2:43" s="6" customFormat="1" ht="20.25" x14ac:dyDescent="0.2">
      <c r="B2" s="9" t="s">
        <v>114</v>
      </c>
      <c r="C2" s="9"/>
      <c r="D2" s="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2:43" s="6" customFormat="1" x14ac:dyDescent="0.2"/>
    <row r="4" spans="2:43" s="6" customFormat="1" x14ac:dyDescent="0.2">
      <c r="B4" s="1"/>
      <c r="C4" s="1"/>
      <c r="D4" s="25">
        <v>44317</v>
      </c>
      <c r="E4" s="25">
        <v>44348</v>
      </c>
      <c r="F4" s="25">
        <v>44378</v>
      </c>
      <c r="G4" s="25">
        <v>44409</v>
      </c>
      <c r="H4" s="25">
        <v>44440</v>
      </c>
      <c r="I4" s="25">
        <v>44470</v>
      </c>
      <c r="J4" s="25">
        <v>44501</v>
      </c>
      <c r="K4" s="25">
        <v>44531</v>
      </c>
      <c r="L4" s="25">
        <v>44562</v>
      </c>
      <c r="M4" s="25">
        <v>44593</v>
      </c>
      <c r="N4" s="25">
        <v>44621</v>
      </c>
      <c r="O4" s="25">
        <v>44652</v>
      </c>
      <c r="P4" s="25">
        <v>44682</v>
      </c>
      <c r="Q4" s="25">
        <v>44713</v>
      </c>
      <c r="R4" s="25">
        <v>44743</v>
      </c>
      <c r="S4" s="25">
        <v>44774</v>
      </c>
      <c r="T4" s="25">
        <v>44805</v>
      </c>
      <c r="U4" s="25">
        <v>44835</v>
      </c>
      <c r="V4" s="25">
        <v>44866</v>
      </c>
      <c r="W4" s="25">
        <v>44896</v>
      </c>
      <c r="X4" s="25">
        <v>44927</v>
      </c>
      <c r="Y4" s="25">
        <v>44958</v>
      </c>
      <c r="Z4" s="25">
        <v>44986</v>
      </c>
      <c r="AA4" s="25">
        <v>45017</v>
      </c>
      <c r="AB4" s="25">
        <v>45047</v>
      </c>
      <c r="AC4" s="25">
        <v>45078</v>
      </c>
      <c r="AD4" s="25">
        <v>45108</v>
      </c>
      <c r="AE4" s="25">
        <v>45139</v>
      </c>
      <c r="AF4" s="25">
        <v>45170</v>
      </c>
      <c r="AG4" s="25">
        <v>45200</v>
      </c>
      <c r="AH4" s="25">
        <v>45231</v>
      </c>
      <c r="AI4" s="25">
        <v>45261</v>
      </c>
      <c r="AJ4" s="25">
        <v>45292</v>
      </c>
      <c r="AK4" s="25">
        <v>45323</v>
      </c>
      <c r="AL4" s="25">
        <v>45352</v>
      </c>
      <c r="AM4" s="25">
        <v>45383</v>
      </c>
      <c r="AN4" s="1"/>
    </row>
    <row r="5" spans="2:43" s="6" customFormat="1" ht="15.75" x14ac:dyDescent="0.2">
      <c r="B5" s="4" t="s">
        <v>11</v>
      </c>
      <c r="C5" s="4"/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0" t="s">
        <v>20</v>
      </c>
      <c r="L5" s="10" t="s">
        <v>21</v>
      </c>
      <c r="M5" s="10" t="s">
        <v>22</v>
      </c>
      <c r="N5" s="10" t="s">
        <v>23</v>
      </c>
      <c r="O5" s="10" t="s">
        <v>24</v>
      </c>
      <c r="P5" s="10" t="s">
        <v>39</v>
      </c>
      <c r="Q5" s="10" t="s">
        <v>40</v>
      </c>
      <c r="R5" s="10" t="s">
        <v>41</v>
      </c>
      <c r="S5" s="10" t="s">
        <v>42</v>
      </c>
      <c r="T5" s="10" t="s">
        <v>43</v>
      </c>
      <c r="U5" s="10" t="s">
        <v>44</v>
      </c>
      <c r="V5" s="10" t="s">
        <v>45</v>
      </c>
      <c r="W5" s="10" t="s">
        <v>46</v>
      </c>
      <c r="X5" s="10" t="s">
        <v>47</v>
      </c>
      <c r="Y5" s="10" t="s">
        <v>48</v>
      </c>
      <c r="Z5" s="10" t="s">
        <v>79</v>
      </c>
      <c r="AA5" s="10" t="s">
        <v>80</v>
      </c>
      <c r="AB5" s="10" t="s">
        <v>81</v>
      </c>
      <c r="AC5" s="10" t="s">
        <v>82</v>
      </c>
      <c r="AD5" s="10" t="s">
        <v>83</v>
      </c>
      <c r="AE5" s="10" t="s">
        <v>84</v>
      </c>
      <c r="AF5" s="10" t="s">
        <v>85</v>
      </c>
      <c r="AG5" s="10" t="s">
        <v>86</v>
      </c>
      <c r="AH5" s="10" t="s">
        <v>87</v>
      </c>
      <c r="AI5" s="10" t="s">
        <v>88</v>
      </c>
      <c r="AJ5" s="10" t="s">
        <v>89</v>
      </c>
      <c r="AK5" s="10" t="s">
        <v>90</v>
      </c>
      <c r="AL5" s="10" t="s">
        <v>91</v>
      </c>
      <c r="AM5" s="10" t="s">
        <v>92</v>
      </c>
      <c r="AN5" s="10" t="s">
        <v>25</v>
      </c>
    </row>
    <row r="6" spans="2:43" x14ac:dyDescent="0.2">
      <c r="B6" s="3" t="s">
        <v>7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2:43" s="6" customFormat="1" x14ac:dyDescent="0.2">
      <c r="C7" s="6" t="s">
        <v>66</v>
      </c>
      <c r="D7" s="7">
        <f>$D$28*Supuestos!$I$6</f>
        <v>653940000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7">
        <f>SUM(D7:O7)</f>
        <v>653940000</v>
      </c>
      <c r="AO7" s="44"/>
    </row>
    <row r="8" spans="2:43" s="6" customFormat="1" x14ac:dyDescent="0.2">
      <c r="C8" s="6" t="s">
        <v>78</v>
      </c>
      <c r="D8" s="7">
        <f>$D$30*Supuestos!B3</f>
        <v>67291000</v>
      </c>
      <c r="E8" s="7">
        <f>$D$30*Supuestos!B4</f>
        <v>69230000</v>
      </c>
      <c r="F8" s="7">
        <f>$D$30*Supuestos!B5</f>
        <v>71330000</v>
      </c>
      <c r="G8" s="7">
        <f>$D$30*Supuestos!B6</f>
        <v>73780000</v>
      </c>
      <c r="H8" s="7">
        <f>$D$30*Supuestos!B7</f>
        <v>76230000</v>
      </c>
      <c r="I8" s="7">
        <f>$D$30*Supuestos!B8</f>
        <v>79100000</v>
      </c>
      <c r="J8" s="7">
        <f>$D$30*Supuestos!B9</f>
        <v>81900000</v>
      </c>
      <c r="K8" s="7">
        <f>$D$30*Supuestos!B10</f>
        <v>86100000</v>
      </c>
      <c r="L8" s="7">
        <f>$D$30*Supuestos!B11</f>
        <v>89600000</v>
      </c>
      <c r="M8" s="7">
        <f>$D$30*Supuestos!B12</f>
        <v>93170000</v>
      </c>
      <c r="N8" s="7">
        <f>$D$30*Supuestos!B13</f>
        <v>96514803</v>
      </c>
      <c r="O8" s="7">
        <f>$D$30*Supuestos!B14</f>
        <v>99979684.427699998</v>
      </c>
      <c r="P8" s="7">
        <f>$D$30*Supuestos!B15</f>
        <v>103568955.09865445</v>
      </c>
      <c r="Q8" s="7">
        <f>$D$30*Supuestos!B16</f>
        <v>107287080.58669615</v>
      </c>
      <c r="R8" s="7">
        <f>$D$30*Supuestos!B17</f>
        <v>111138686.77975854</v>
      </c>
      <c r="S8" s="7">
        <f>$D$30*Supuestos!B18</f>
        <v>115128565.63515188</v>
      </c>
      <c r="T8" s="7">
        <f>$D$30*Supuestos!B19</f>
        <v>119261681.14145383</v>
      </c>
      <c r="U8" s="7">
        <f>$D$30*Supuestos!B20</f>
        <v>123543175.49443203</v>
      </c>
      <c r="V8" s="7">
        <f>$D$30*Supuestos!B21</f>
        <v>127978375.49468213</v>
      </c>
      <c r="W8" s="7">
        <f>$D$30*Supuestos!B22</f>
        <v>132572799.17494123</v>
      </c>
      <c r="X8" s="7">
        <f>$D$30*Supuestos!B23</f>
        <v>137332162.66532162</v>
      </c>
      <c r="Y8" s="7">
        <f>$D$30*Supuestos!B24</f>
        <v>142262387.30500668</v>
      </c>
      <c r="Z8" s="7">
        <f>$D$30*Supuestos!B25</f>
        <v>147369607.00925642</v>
      </c>
      <c r="AA8" s="7">
        <f>$D$30*Supuestos!B26</f>
        <v>152660175.90088871</v>
      </c>
      <c r="AB8" s="7">
        <f>$D$30*Supuestos!B27</f>
        <v>158140676.21573064</v>
      </c>
      <c r="AC8" s="7">
        <f>$D$30*Supuestos!B28</f>
        <v>163817926.49187538</v>
      </c>
      <c r="AD8" s="7">
        <f>$D$30*Supuestos!B29</f>
        <v>169698990.05293369</v>
      </c>
      <c r="AE8" s="7">
        <f>$D$30*Supuestos!B30</f>
        <v>175791183.79583403</v>
      </c>
      <c r="AF8" s="7">
        <f>$D$30*Supuestos!B31</f>
        <v>182102087.29410449</v>
      </c>
      <c r="AG8" s="7">
        <f>$D$30*Supuestos!B32</f>
        <v>188639552.22796282</v>
      </c>
      <c r="AH8" s="7">
        <f>$D$30*Supuestos!B33</f>
        <v>195411712.15294671</v>
      </c>
      <c r="AI8" s="7">
        <f>$D$30*Supuestos!B34</f>
        <v>202426992.61923751</v>
      </c>
      <c r="AJ8" s="7">
        <f>$D$30*Supuestos!B35</f>
        <v>209694121.65426818</v>
      </c>
      <c r="AK8" s="7">
        <f>$D$30*Supuestos!B36</f>
        <v>217222140.62165639</v>
      </c>
      <c r="AL8" s="7">
        <f>$D$30*Supuestos!B37</f>
        <v>225020415.46997383</v>
      </c>
      <c r="AM8" s="7">
        <f>$D$30*Supuestos!B38</f>
        <v>233098648.38534594</v>
      </c>
      <c r="AN8" s="7">
        <f>SUM(D8:O8)</f>
        <v>984225487.42770004</v>
      </c>
    </row>
    <row r="9" spans="2:43" s="6" customFormat="1" x14ac:dyDescent="0.2"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>
        <f>SUM(D9:O9)</f>
        <v>0</v>
      </c>
    </row>
    <row r="10" spans="2:43" s="6" customFormat="1" x14ac:dyDescent="0.2">
      <c r="B10" s="3" t="s">
        <v>8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2:43" s="6" customFormat="1" x14ac:dyDescent="0.2">
      <c r="B11" s="1"/>
      <c r="C11" s="3" t="s">
        <v>0</v>
      </c>
      <c r="D11" s="7">
        <f>-1800*Supuestos!$I$6</f>
        <v>-168156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7">
        <f>SUM(D11:O11)</f>
        <v>-168156</v>
      </c>
    </row>
    <row r="12" spans="2:43" s="6" customFormat="1" x14ac:dyDescent="0.2">
      <c r="B12" s="1"/>
      <c r="C12" s="3" t="s">
        <v>1</v>
      </c>
      <c r="D12" s="7">
        <f>-408.15*Supuestos!$I$6</f>
        <v>-38129.373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7">
        <f t="shared" ref="AN12:AN22" si="0">SUM(D12:O12)</f>
        <v>-38129.373</v>
      </c>
    </row>
    <row r="13" spans="2:43" s="6" customFormat="1" x14ac:dyDescent="0.2">
      <c r="B13" s="1"/>
      <c r="C13" s="3" t="s">
        <v>2</v>
      </c>
      <c r="D13" s="7">
        <f>-4200*Supuestos!$I$6</f>
        <v>-392364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7">
        <f t="shared" si="0"/>
        <v>-392364</v>
      </c>
    </row>
    <row r="14" spans="2:43" s="6" customFormat="1" x14ac:dyDescent="0.2">
      <c r="B14" s="1"/>
      <c r="C14" s="3" t="s">
        <v>10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7">
        <f>-$D$36*Supuestos!B15</f>
        <v>-43153731.291106023</v>
      </c>
      <c r="Q14" s="7">
        <f>-$D$36*Supuestos!B16</f>
        <v>-44702950.244456731</v>
      </c>
      <c r="R14" s="7">
        <f>-$D$36*Supuestos!B17</f>
        <v>-46307786.158232726</v>
      </c>
      <c r="S14" s="7">
        <f>-$D$36*Supuestos!B18</f>
        <v>-47970235.681313284</v>
      </c>
      <c r="T14" s="7">
        <f>-$D$36*Supuestos!B19</f>
        <v>-49692367.142272435</v>
      </c>
      <c r="U14" s="7">
        <f>-$D$36*Supuestos!B20</f>
        <v>-51476323.122680016</v>
      </c>
      <c r="V14" s="7">
        <f>-$D$36*Supuestos!B21</f>
        <v>-53324323.122784227</v>
      </c>
      <c r="W14" s="7">
        <f>-$D$36*Supuestos!B22</f>
        <v>-55238666.322892182</v>
      </c>
      <c r="X14" s="7">
        <f>-$D$36*Supuestos!B23</f>
        <v>-57221734.443884015</v>
      </c>
      <c r="Y14" s="7">
        <f>-$D$36*Supuestos!B24</f>
        <v>-59275994.710419454</v>
      </c>
      <c r="Z14" s="7">
        <f>-$D$36*Supuestos!B25</f>
        <v>-61404002.920523509</v>
      </c>
      <c r="AA14" s="7">
        <f>-$D$36*Supuestos!B26</f>
        <v>-63608406.625370301</v>
      </c>
      <c r="AB14" s="7">
        <f>-$D$36*Supuestos!B27</f>
        <v>-65891948.423221104</v>
      </c>
      <c r="AC14" s="7">
        <f>-$D$36*Supuestos!B28</f>
        <v>-68257469.371614739</v>
      </c>
      <c r="AD14" s="7">
        <f>-$D$36*Supuestos!B29</f>
        <v>-70707912.522055715</v>
      </c>
      <c r="AE14" s="7">
        <f>-$D$36*Supuestos!B30</f>
        <v>-73246326.581597522</v>
      </c>
      <c r="AF14" s="7">
        <f>-$D$36*Supuestos!B31</f>
        <v>-75875869.705876872</v>
      </c>
      <c r="AG14" s="7">
        <f>-$D$36*Supuestos!B32</f>
        <v>-78599813.428317845</v>
      </c>
      <c r="AH14" s="7">
        <f>-$D$36*Supuestos!B33</f>
        <v>-81421546.730394468</v>
      </c>
      <c r="AI14" s="7">
        <f>-$D$36*Supuestos!B34</f>
        <v>-84344580.258015633</v>
      </c>
      <c r="AJ14" s="7">
        <f>-$D$36*Supuestos!B35</f>
        <v>-87372550.689278409</v>
      </c>
      <c r="AK14" s="7">
        <f>-$D$36*Supuestos!B36</f>
        <v>-90509225.259023502</v>
      </c>
      <c r="AL14" s="7">
        <f>-$D$36*Supuestos!B37</f>
        <v>-93758506.445822448</v>
      </c>
      <c r="AM14" s="7">
        <f>-$D$36*Supuestos!B38</f>
        <v>-97124436.827227473</v>
      </c>
      <c r="AN14" s="7">
        <f t="shared" si="0"/>
        <v>0</v>
      </c>
      <c r="AO14" s="44"/>
      <c r="AP14" s="44"/>
      <c r="AQ14" s="44"/>
    </row>
    <row r="15" spans="2:43" s="6" customFormat="1" x14ac:dyDescent="0.2">
      <c r="B15" s="1"/>
      <c r="C15" s="3" t="s">
        <v>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7">
        <f>-$D$37*Supuestos!B15</f>
        <v>-863074.62582212035</v>
      </c>
      <c r="Q15" s="7">
        <f>-$D$37*Supuestos!B16</f>
        <v>-894059.00488913443</v>
      </c>
      <c r="R15" s="7">
        <f>-$D$37*Supuestos!B17</f>
        <v>-926155.72316465445</v>
      </c>
      <c r="S15" s="7">
        <f>-$D$37*Supuestos!B18</f>
        <v>-959404.71362626564</v>
      </c>
      <c r="T15" s="7">
        <f>-$D$37*Supuestos!B19</f>
        <v>-993847.34284544853</v>
      </c>
      <c r="U15" s="7">
        <f>-$D$37*Supuestos!B20</f>
        <v>-1029526.4624536001</v>
      </c>
      <c r="V15" s="7">
        <f>-$D$37*Supuestos!B21</f>
        <v>-1066486.4624556843</v>
      </c>
      <c r="W15" s="7">
        <f>-$D$37*Supuestos!B22</f>
        <v>-1104773.3264578434</v>
      </c>
      <c r="X15" s="7">
        <f>-$D$37*Supuestos!B23</f>
        <v>-1144434.6888776801</v>
      </c>
      <c r="Y15" s="7">
        <f>-$D$37*Supuestos!B24</f>
        <v>-1185519.8942083889</v>
      </c>
      <c r="Z15" s="7">
        <f>-$D$37*Supuestos!B25</f>
        <v>-1228080.0584104701</v>
      </c>
      <c r="AA15" s="7">
        <f>-$D$37*Supuestos!B26</f>
        <v>-1272168.1325074059</v>
      </c>
      <c r="AB15" s="7">
        <f>-$D$37*Supuestos!B27</f>
        <v>-1317838.9684644218</v>
      </c>
      <c r="AC15" s="7">
        <f>-$D$37*Supuestos!B28</f>
        <v>-1365149.3874322947</v>
      </c>
      <c r="AD15" s="7">
        <f>-$D$37*Supuestos!B29</f>
        <v>-1414158.250441114</v>
      </c>
      <c r="AE15" s="7">
        <f>-$D$37*Supuestos!B30</f>
        <v>-1464926.5316319501</v>
      </c>
      <c r="AF15" s="7">
        <f>-$D$37*Supuestos!B31</f>
        <v>-1517517.3941175372</v>
      </c>
      <c r="AG15" s="7">
        <f>-$D$37*Supuestos!B32</f>
        <v>-1571996.2685663567</v>
      </c>
      <c r="AH15" s="7">
        <f>-$D$37*Supuestos!B33</f>
        <v>-1628430.9346078893</v>
      </c>
      <c r="AI15" s="7">
        <f>-$D$37*Supuestos!B34</f>
        <v>-1686891.6051603125</v>
      </c>
      <c r="AJ15" s="7">
        <f>-$D$37*Supuestos!B35</f>
        <v>-1747451.0137855678</v>
      </c>
      <c r="AK15" s="7">
        <f>-$D$37*Supuestos!B36</f>
        <v>-1810184.5051804697</v>
      </c>
      <c r="AL15" s="7">
        <f>-$D$37*Supuestos!B37</f>
        <v>-1875170.1289164487</v>
      </c>
      <c r="AM15" s="7">
        <f>-$D$37*Supuestos!B38</f>
        <v>-1942488.7365445492</v>
      </c>
      <c r="AN15" s="7">
        <f t="shared" si="0"/>
        <v>0</v>
      </c>
    </row>
    <row r="16" spans="2:43" s="6" customFormat="1" x14ac:dyDescent="0.2">
      <c r="B16" s="1"/>
      <c r="C16" s="3" t="s">
        <v>3</v>
      </c>
      <c r="D16" s="7">
        <f>-$D$7*0.75%</f>
        <v>-4904550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7">
        <f t="shared" si="0"/>
        <v>-4904550</v>
      </c>
    </row>
    <row r="17" spans="2:40" s="6" customFormat="1" x14ac:dyDescent="0.2">
      <c r="B17" s="1"/>
      <c r="C17" s="3" t="s">
        <v>4</v>
      </c>
      <c r="D17" s="7">
        <f>-$D$7*0.04%</f>
        <v>-261576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7">
        <f t="shared" si="0"/>
        <v>-261576</v>
      </c>
    </row>
    <row r="18" spans="2:40" s="6" customFormat="1" x14ac:dyDescent="0.2">
      <c r="B18" s="1"/>
      <c r="C18" s="3" t="s">
        <v>65</v>
      </c>
      <c r="D18" s="7">
        <f>-$D$7*0.3%</f>
        <v>-1961820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7">
        <f t="shared" si="0"/>
        <v>-1961820</v>
      </c>
    </row>
    <row r="19" spans="2:40" s="6" customFormat="1" x14ac:dyDescent="0.2">
      <c r="B19" s="1"/>
      <c r="C19" s="3" t="s">
        <v>5</v>
      </c>
      <c r="D19" s="7">
        <f>-$D$7*0.5%</f>
        <v>-3269700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7">
        <f t="shared" si="0"/>
        <v>-3269700</v>
      </c>
    </row>
    <row r="20" spans="2:40" s="6" customFormat="1" x14ac:dyDescent="0.2">
      <c r="B20" s="1"/>
      <c r="C20" s="3" t="s">
        <v>6</v>
      </c>
      <c r="D20" s="7">
        <f>-$D$7*1.5%</f>
        <v>-9809100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7">
        <f t="shared" si="0"/>
        <v>-9809100</v>
      </c>
    </row>
    <row r="21" spans="2:40" s="6" customFormat="1" x14ac:dyDescent="0.2">
      <c r="B21" s="1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3">
        <f t="shared" si="0"/>
        <v>0</v>
      </c>
    </row>
    <row r="22" spans="2:40" s="6" customFormat="1" ht="15" x14ac:dyDescent="0.2">
      <c r="B22" s="5" t="s">
        <v>12</v>
      </c>
      <c r="C22" s="5"/>
      <c r="D22" s="11">
        <f t="shared" ref="D22:O22" si="1">SUM(D7:D21)</f>
        <v>700425604.62699997</v>
      </c>
      <c r="E22" s="11">
        <f t="shared" si="1"/>
        <v>69230000</v>
      </c>
      <c r="F22" s="11">
        <f t="shared" si="1"/>
        <v>71330000</v>
      </c>
      <c r="G22" s="11">
        <f t="shared" si="1"/>
        <v>73780000</v>
      </c>
      <c r="H22" s="11">
        <f t="shared" si="1"/>
        <v>76230000</v>
      </c>
      <c r="I22" s="11">
        <f t="shared" si="1"/>
        <v>79100000</v>
      </c>
      <c r="J22" s="11">
        <f t="shared" si="1"/>
        <v>81900000</v>
      </c>
      <c r="K22" s="11">
        <f t="shared" si="1"/>
        <v>86100000</v>
      </c>
      <c r="L22" s="11">
        <f t="shared" si="1"/>
        <v>89600000</v>
      </c>
      <c r="M22" s="11">
        <f t="shared" si="1"/>
        <v>93170000</v>
      </c>
      <c r="N22" s="11">
        <f t="shared" si="1"/>
        <v>96514803</v>
      </c>
      <c r="O22" s="11">
        <f t="shared" si="1"/>
        <v>99979684.427699998</v>
      </c>
      <c r="P22" s="11">
        <f t="shared" ref="P22:AM22" si="2">SUM(P7:P21)</f>
        <v>59552149.181726307</v>
      </c>
      <c r="Q22" s="11">
        <f t="shared" si="2"/>
        <v>61690071.337350279</v>
      </c>
      <c r="R22" s="11">
        <f t="shared" si="2"/>
        <v>63904744.898361161</v>
      </c>
      <c r="S22" s="11">
        <f t="shared" si="2"/>
        <v>66198925.240212321</v>
      </c>
      <c r="T22" s="11">
        <f t="shared" si="2"/>
        <v>68575466.656335935</v>
      </c>
      <c r="U22" s="11">
        <f t="shared" si="2"/>
        <v>71037325.90929842</v>
      </c>
      <c r="V22" s="11">
        <f t="shared" si="2"/>
        <v>73587565.909442216</v>
      </c>
      <c r="W22" s="11">
        <f t="shared" si="2"/>
        <v>76229359.52559121</v>
      </c>
      <c r="X22" s="11">
        <f t="shared" si="2"/>
        <v>78965993.532559916</v>
      </c>
      <c r="Y22" s="11">
        <f t="shared" si="2"/>
        <v>81800872.70037885</v>
      </c>
      <c r="Z22" s="11">
        <f t="shared" si="2"/>
        <v>84737524.030322447</v>
      </c>
      <c r="AA22" s="11">
        <f t="shared" si="2"/>
        <v>87779601.143011019</v>
      </c>
      <c r="AB22" s="11">
        <f t="shared" si="2"/>
        <v>90930888.824045107</v>
      </c>
      <c r="AC22" s="11">
        <f t="shared" si="2"/>
        <v>94195307.732828349</v>
      </c>
      <c r="AD22" s="11">
        <f t="shared" si="2"/>
        <v>97576919.280436859</v>
      </c>
      <c r="AE22" s="11">
        <f t="shared" si="2"/>
        <v>101079930.68260457</v>
      </c>
      <c r="AF22" s="11">
        <f t="shared" si="2"/>
        <v>104708700.19411008</v>
      </c>
      <c r="AG22" s="11">
        <f t="shared" si="2"/>
        <v>108467742.53107862</v>
      </c>
      <c r="AH22" s="11">
        <f t="shared" si="2"/>
        <v>112361734.48794435</v>
      </c>
      <c r="AI22" s="11">
        <f t="shared" si="2"/>
        <v>116395520.75606157</v>
      </c>
      <c r="AJ22" s="11">
        <f t="shared" si="2"/>
        <v>120574119.9512042</v>
      </c>
      <c r="AK22" s="11">
        <f t="shared" si="2"/>
        <v>124902730.85745242</v>
      </c>
      <c r="AL22" s="11">
        <f t="shared" si="2"/>
        <v>129386738.89523494</v>
      </c>
      <c r="AM22" s="11">
        <f t="shared" si="2"/>
        <v>134031722.82157391</v>
      </c>
      <c r="AN22" s="42">
        <f t="shared" si="0"/>
        <v>1617360092.0546999</v>
      </c>
    </row>
    <row r="23" spans="2:40" s="6" customForma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5" spans="2:40" x14ac:dyDescent="0.2">
      <c r="J25" s="46"/>
    </row>
    <row r="26" spans="2:40" x14ac:dyDescent="0.2">
      <c r="J26" s="46"/>
    </row>
    <row r="28" spans="2:40" x14ac:dyDescent="0.2">
      <c r="C28" s="48" t="s">
        <v>106</v>
      </c>
      <c r="D28" s="49">
        <v>7000000</v>
      </c>
      <c r="E28" s="12" t="s">
        <v>109</v>
      </c>
    </row>
    <row r="29" spans="2:40" x14ac:dyDescent="0.2">
      <c r="C29" s="12" t="s">
        <v>107</v>
      </c>
      <c r="D29" s="50">
        <v>0.02</v>
      </c>
    </row>
    <row r="30" spans="2:40" x14ac:dyDescent="0.2">
      <c r="C30" s="12" t="s">
        <v>108</v>
      </c>
      <c r="D30" s="45">
        <f>D28*0.1</f>
        <v>700000</v>
      </c>
      <c r="E30" s="12" t="s">
        <v>109</v>
      </c>
    </row>
    <row r="34" spans="3:5" x14ac:dyDescent="0.2">
      <c r="C34" s="12" t="s">
        <v>111</v>
      </c>
      <c r="D34" s="12">
        <v>36</v>
      </c>
    </row>
    <row r="35" spans="3:5" x14ac:dyDescent="0.2">
      <c r="C35" s="12" t="s">
        <v>113</v>
      </c>
      <c r="D35" s="12">
        <v>24</v>
      </c>
    </row>
    <row r="36" spans="3:5" x14ac:dyDescent="0.2">
      <c r="C36" s="12" t="s">
        <v>110</v>
      </c>
      <c r="D36" s="46">
        <f>D28/D35</f>
        <v>291666.66666666669</v>
      </c>
      <c r="E36" s="46"/>
    </row>
    <row r="37" spans="3:5" x14ac:dyDescent="0.2">
      <c r="C37" s="12" t="s">
        <v>112</v>
      </c>
      <c r="D37" s="46">
        <f>(D28*D29)/D35</f>
        <v>5833.333333333333</v>
      </c>
    </row>
    <row r="39" spans="3:5" collapsed="1" x14ac:dyDescent="0.2"/>
  </sheetData>
  <phoneticPr fontId="20" type="noConversion"/>
  <printOptions horizontalCentered="1"/>
  <pageMargins left="0.35" right="0.35" top="0.5" bottom="0.5" header="0.5" footer="0.25"/>
  <pageSetup scale="82" fitToHeight="0" orientation="landscape" r:id="rId1"/>
  <headerFooter alignWithMargins="0"/>
  <ignoredErrors>
    <ignoredError sqref="D7:O7 D9:O13 D16:O20 D14:I15 D8:AM8 AN14 AN7:AN13 AN16:AN22 P14:AM14 P15 Q15:AM15" unlockedFormula="1"/>
    <ignoredError sqref="AN15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3CFC-5B6C-474F-AA0D-F591E5A93A67}">
  <dimension ref="A1:L40"/>
  <sheetViews>
    <sheetView workbookViewId="0">
      <selection activeCell="E12" sqref="E12"/>
    </sheetView>
  </sheetViews>
  <sheetFormatPr baseColWidth="10" defaultRowHeight="14.25" x14ac:dyDescent="0.2"/>
  <sheetData>
    <row r="1" spans="1:12" ht="15" thickBot="1" x14ac:dyDescent="0.25">
      <c r="A1" s="15" t="s">
        <v>26</v>
      </c>
      <c r="B1" s="15" t="s">
        <v>27</v>
      </c>
    </row>
    <row r="2" spans="1:12" ht="15" thickBot="1" x14ac:dyDescent="0.25">
      <c r="A2" s="16" t="s">
        <v>28</v>
      </c>
      <c r="B2" s="17">
        <v>93.56</v>
      </c>
      <c r="D2" s="19"/>
    </row>
    <row r="3" spans="1:12" ht="15" thickBot="1" x14ac:dyDescent="0.25">
      <c r="A3" s="16" t="s">
        <v>29</v>
      </c>
      <c r="B3" s="17">
        <v>96.13</v>
      </c>
      <c r="C3" s="18">
        <f>B3/B2-1</f>
        <v>2.7469003847798046E-2</v>
      </c>
      <c r="D3" s="19"/>
      <c r="E3" s="18"/>
      <c r="H3" s="51" t="s">
        <v>67</v>
      </c>
      <c r="I3" s="52"/>
      <c r="J3" s="52"/>
      <c r="K3" s="52"/>
      <c r="L3" s="53"/>
    </row>
    <row r="4" spans="1:12" ht="15" thickBot="1" x14ac:dyDescent="0.25">
      <c r="A4" s="16" t="s">
        <v>30</v>
      </c>
      <c r="B4" s="17">
        <v>98.9</v>
      </c>
      <c r="C4" s="18">
        <f t="shared" ref="C4:C40" si="0">B4/B3-1</f>
        <v>2.8815146156246918E-2</v>
      </c>
      <c r="D4" s="19"/>
      <c r="E4" s="18"/>
      <c r="H4" s="31" t="s">
        <v>68</v>
      </c>
      <c r="I4" s="26" t="s">
        <v>69</v>
      </c>
      <c r="J4" s="26" t="s">
        <v>70</v>
      </c>
      <c r="K4" s="26" t="s">
        <v>71</v>
      </c>
      <c r="L4" s="32" t="s">
        <v>72</v>
      </c>
    </row>
    <row r="5" spans="1:12" ht="26.25" thickBot="1" x14ac:dyDescent="0.25">
      <c r="A5" s="16" t="s">
        <v>31</v>
      </c>
      <c r="B5" s="17">
        <v>101.9</v>
      </c>
      <c r="C5" s="18">
        <f t="shared" si="0"/>
        <v>3.0333670374115274E-2</v>
      </c>
      <c r="D5" s="19"/>
      <c r="E5" s="18"/>
      <c r="H5" s="33" t="s">
        <v>73</v>
      </c>
      <c r="I5" s="27">
        <v>98.5</v>
      </c>
      <c r="J5" s="28">
        <v>0</v>
      </c>
      <c r="K5" s="28">
        <v>1</v>
      </c>
      <c r="L5" s="34">
        <v>10.4</v>
      </c>
    </row>
    <row r="6" spans="1:12" ht="26.25" thickBot="1" x14ac:dyDescent="0.25">
      <c r="A6" s="16" t="s">
        <v>32</v>
      </c>
      <c r="B6" s="17">
        <v>105.4</v>
      </c>
      <c r="C6" s="18">
        <f t="shared" si="0"/>
        <v>3.4347399411187363E-2</v>
      </c>
      <c r="D6" s="19"/>
      <c r="E6" s="18"/>
      <c r="H6" s="35" t="s">
        <v>74</v>
      </c>
      <c r="I6" s="29">
        <v>93.42</v>
      </c>
      <c r="J6" s="30">
        <v>0.1</v>
      </c>
      <c r="K6" s="30">
        <v>1.5</v>
      </c>
      <c r="L6" s="36">
        <v>11</v>
      </c>
    </row>
    <row r="7" spans="1:12" ht="26.25" thickBot="1" x14ac:dyDescent="0.25">
      <c r="A7" s="16" t="s">
        <v>33</v>
      </c>
      <c r="B7" s="17">
        <v>108.9</v>
      </c>
      <c r="C7" s="18">
        <f t="shared" si="0"/>
        <v>3.3206831119544589E-2</v>
      </c>
      <c r="D7" s="19"/>
      <c r="E7" s="18"/>
      <c r="H7" s="33" t="s">
        <v>75</v>
      </c>
      <c r="I7" s="27">
        <v>162.53</v>
      </c>
      <c r="J7" s="28">
        <v>0</v>
      </c>
      <c r="K7" s="28">
        <v>1</v>
      </c>
      <c r="L7" s="34">
        <v>10.4</v>
      </c>
    </row>
    <row r="8" spans="1:12" ht="15" thickBot="1" x14ac:dyDescent="0.25">
      <c r="A8" s="16" t="s">
        <v>34</v>
      </c>
      <c r="B8" s="17">
        <v>113</v>
      </c>
      <c r="C8" s="18">
        <f t="shared" si="0"/>
        <v>3.7649219467401185E-2</v>
      </c>
      <c r="D8" s="19"/>
      <c r="E8" s="18"/>
      <c r="H8" s="35" t="s">
        <v>76</v>
      </c>
      <c r="I8" s="29">
        <v>152.51</v>
      </c>
      <c r="J8" s="30">
        <v>0.7</v>
      </c>
      <c r="K8" s="30">
        <v>7.3</v>
      </c>
      <c r="L8" s="36">
        <v>8.9</v>
      </c>
    </row>
    <row r="9" spans="1:12" ht="15" thickBot="1" x14ac:dyDescent="0.25">
      <c r="A9" s="16" t="s">
        <v>35</v>
      </c>
      <c r="B9" s="17">
        <v>117</v>
      </c>
      <c r="C9" s="18">
        <f t="shared" si="0"/>
        <v>3.539823008849563E-2</v>
      </c>
      <c r="D9" s="19"/>
      <c r="E9" s="18"/>
      <c r="H9" s="37" t="s">
        <v>77</v>
      </c>
      <c r="I9" s="38">
        <v>156.75</v>
      </c>
      <c r="J9" s="39">
        <v>1.3</v>
      </c>
      <c r="K9" s="39">
        <v>6.5</v>
      </c>
      <c r="L9" s="40">
        <v>11.8</v>
      </c>
    </row>
    <row r="10" spans="1:12" ht="15" thickBot="1" x14ac:dyDescent="0.25">
      <c r="A10" s="16" t="s">
        <v>36</v>
      </c>
      <c r="B10" s="17">
        <v>123</v>
      </c>
      <c r="C10" s="18">
        <f t="shared" si="0"/>
        <v>5.1282051282051322E-2</v>
      </c>
      <c r="D10" s="19"/>
      <c r="E10" s="18"/>
    </row>
    <row r="11" spans="1:12" ht="15" thickBot="1" x14ac:dyDescent="0.25">
      <c r="A11" s="16" t="s">
        <v>37</v>
      </c>
      <c r="B11" s="17">
        <v>128</v>
      </c>
      <c r="C11" s="18">
        <f t="shared" si="0"/>
        <v>4.0650406504065151E-2</v>
      </c>
      <c r="D11" s="19"/>
      <c r="E11" s="18"/>
    </row>
    <row r="12" spans="1:12" x14ac:dyDescent="0.2">
      <c r="A12" s="22" t="s">
        <v>38</v>
      </c>
      <c r="B12" s="23">
        <v>133.1</v>
      </c>
      <c r="C12" s="24">
        <f t="shared" si="0"/>
        <v>3.9843749999999956E-2</v>
      </c>
      <c r="D12" t="s">
        <v>64</v>
      </c>
      <c r="E12" s="18"/>
    </row>
    <row r="13" spans="1:12" ht="15" thickBot="1" x14ac:dyDescent="0.25">
      <c r="A13" s="20" t="s">
        <v>49</v>
      </c>
      <c r="B13" s="21">
        <f>B12*1.0359</f>
        <v>137.87828999999999</v>
      </c>
      <c r="C13" s="18">
        <f t="shared" si="0"/>
        <v>3.5900000000000043E-2</v>
      </c>
    </row>
    <row r="14" spans="1:12" ht="15" thickBot="1" x14ac:dyDescent="0.25">
      <c r="A14" s="16" t="s">
        <v>50</v>
      </c>
      <c r="B14" s="17">
        <f t="shared" ref="B14:B27" si="1">B13*1.0359</f>
        <v>142.828120611</v>
      </c>
      <c r="C14" s="18">
        <f t="shared" si="0"/>
        <v>3.5900000000000043E-2</v>
      </c>
    </row>
    <row r="15" spans="1:12" ht="15" thickBot="1" x14ac:dyDescent="0.25">
      <c r="A15" s="16" t="s">
        <v>51</v>
      </c>
      <c r="B15" s="17">
        <f t="shared" si="1"/>
        <v>147.95565014093492</v>
      </c>
      <c r="C15" s="18">
        <f t="shared" si="0"/>
        <v>3.5900000000000043E-2</v>
      </c>
    </row>
    <row r="16" spans="1:12" ht="15" thickBot="1" x14ac:dyDescent="0.25">
      <c r="A16" s="16" t="s">
        <v>52</v>
      </c>
      <c r="B16" s="17">
        <f t="shared" si="1"/>
        <v>153.26725798099449</v>
      </c>
      <c r="C16" s="18">
        <f t="shared" si="0"/>
        <v>3.5900000000000043E-2</v>
      </c>
    </row>
    <row r="17" spans="1:3" ht="15" thickBot="1" x14ac:dyDescent="0.25">
      <c r="A17" s="16" t="s">
        <v>53</v>
      </c>
      <c r="B17" s="17">
        <f t="shared" si="1"/>
        <v>158.7695525425122</v>
      </c>
      <c r="C17" s="18">
        <f t="shared" si="0"/>
        <v>3.5900000000000043E-2</v>
      </c>
    </row>
    <row r="18" spans="1:3" ht="15" thickBot="1" x14ac:dyDescent="0.25">
      <c r="A18" s="16" t="s">
        <v>54</v>
      </c>
      <c r="B18" s="17">
        <f t="shared" si="1"/>
        <v>164.4693794787884</v>
      </c>
      <c r="C18" s="18">
        <f t="shared" si="0"/>
        <v>3.5900000000000043E-2</v>
      </c>
    </row>
    <row r="19" spans="1:3" ht="15" thickBot="1" x14ac:dyDescent="0.25">
      <c r="A19" s="16" t="s">
        <v>55</v>
      </c>
      <c r="B19" s="17">
        <f t="shared" si="1"/>
        <v>170.3738302020769</v>
      </c>
      <c r="C19" s="18">
        <f t="shared" si="0"/>
        <v>3.5900000000000043E-2</v>
      </c>
    </row>
    <row r="20" spans="1:3" ht="15" thickBot="1" x14ac:dyDescent="0.25">
      <c r="A20" s="16" t="s">
        <v>56</v>
      </c>
      <c r="B20" s="17">
        <f t="shared" si="1"/>
        <v>176.49025070633147</v>
      </c>
      <c r="C20" s="18">
        <f t="shared" si="0"/>
        <v>3.5900000000000043E-2</v>
      </c>
    </row>
    <row r="21" spans="1:3" ht="15" thickBot="1" x14ac:dyDescent="0.25">
      <c r="A21" s="16" t="s">
        <v>57</v>
      </c>
      <c r="B21" s="17">
        <f t="shared" si="1"/>
        <v>182.82625070668877</v>
      </c>
      <c r="C21" s="18">
        <f t="shared" si="0"/>
        <v>3.5900000000000043E-2</v>
      </c>
    </row>
    <row r="22" spans="1:3" ht="15" thickBot="1" x14ac:dyDescent="0.25">
      <c r="A22" s="16" t="s">
        <v>58</v>
      </c>
      <c r="B22" s="17">
        <f t="shared" si="1"/>
        <v>189.3897131070589</v>
      </c>
      <c r="C22" s="18">
        <f t="shared" si="0"/>
        <v>3.5900000000000043E-2</v>
      </c>
    </row>
    <row r="23" spans="1:3" ht="15" thickBot="1" x14ac:dyDescent="0.25">
      <c r="A23" s="16" t="s">
        <v>60</v>
      </c>
      <c r="B23" s="17">
        <f t="shared" si="1"/>
        <v>196.18880380760231</v>
      </c>
      <c r="C23" s="18">
        <f t="shared" si="0"/>
        <v>3.5900000000000043E-2</v>
      </c>
    </row>
    <row r="24" spans="1:3" ht="15" thickBot="1" x14ac:dyDescent="0.25">
      <c r="A24" s="16" t="s">
        <v>59</v>
      </c>
      <c r="B24" s="17">
        <f t="shared" si="1"/>
        <v>203.23198186429525</v>
      </c>
      <c r="C24" s="18">
        <f t="shared" si="0"/>
        <v>3.5900000000000043E-2</v>
      </c>
    </row>
    <row r="25" spans="1:3" ht="15" thickBot="1" x14ac:dyDescent="0.25">
      <c r="A25" s="16" t="s">
        <v>61</v>
      </c>
      <c r="B25" s="17">
        <f t="shared" si="1"/>
        <v>210.52801001322345</v>
      </c>
      <c r="C25" s="18">
        <f t="shared" si="0"/>
        <v>3.5900000000000043E-2</v>
      </c>
    </row>
    <row r="26" spans="1:3" ht="15" thickBot="1" x14ac:dyDescent="0.25">
      <c r="A26" s="16" t="s">
        <v>62</v>
      </c>
      <c r="B26" s="17">
        <f t="shared" si="1"/>
        <v>218.08596557269817</v>
      </c>
      <c r="C26" s="18">
        <f t="shared" si="0"/>
        <v>3.5900000000000043E-2</v>
      </c>
    </row>
    <row r="27" spans="1:3" ht="15" thickBot="1" x14ac:dyDescent="0.25">
      <c r="A27" s="16" t="s">
        <v>63</v>
      </c>
      <c r="B27" s="17">
        <f t="shared" si="1"/>
        <v>225.91525173675805</v>
      </c>
      <c r="C27" s="18">
        <f t="shared" si="0"/>
        <v>3.5900000000000043E-2</v>
      </c>
    </row>
    <row r="28" spans="1:3" ht="15" thickBot="1" x14ac:dyDescent="0.25">
      <c r="A28" s="16" t="s">
        <v>93</v>
      </c>
      <c r="B28" s="17">
        <f t="shared" ref="B28:B40" si="2">B27*1.0359</f>
        <v>234.02560927410767</v>
      </c>
      <c r="C28" s="18">
        <f t="shared" si="0"/>
        <v>3.5900000000000043E-2</v>
      </c>
    </row>
    <row r="29" spans="1:3" ht="15" thickBot="1" x14ac:dyDescent="0.25">
      <c r="A29" s="16" t="s">
        <v>94</v>
      </c>
      <c r="B29" s="17">
        <f t="shared" si="2"/>
        <v>242.42712864704814</v>
      </c>
      <c r="C29" s="18">
        <f t="shared" si="0"/>
        <v>3.5900000000000043E-2</v>
      </c>
    </row>
    <row r="30" spans="1:3" ht="15" thickBot="1" x14ac:dyDescent="0.25">
      <c r="A30" s="16" t="s">
        <v>95</v>
      </c>
      <c r="B30" s="17">
        <f t="shared" si="2"/>
        <v>251.13026256547718</v>
      </c>
      <c r="C30" s="18">
        <f t="shared" si="0"/>
        <v>3.5900000000000043E-2</v>
      </c>
    </row>
    <row r="31" spans="1:3" ht="15" thickBot="1" x14ac:dyDescent="0.25">
      <c r="A31" s="16" t="s">
        <v>96</v>
      </c>
      <c r="B31" s="17">
        <f t="shared" si="2"/>
        <v>260.14583899157782</v>
      </c>
      <c r="C31" s="18">
        <f t="shared" si="0"/>
        <v>3.5900000000000043E-2</v>
      </c>
    </row>
    <row r="32" spans="1:3" ht="15" thickBot="1" x14ac:dyDescent="0.25">
      <c r="A32" s="16" t="s">
        <v>97</v>
      </c>
      <c r="B32" s="17">
        <f t="shared" si="2"/>
        <v>269.48507461137547</v>
      </c>
      <c r="C32" s="18">
        <f t="shared" si="0"/>
        <v>3.5900000000000043E-2</v>
      </c>
    </row>
    <row r="33" spans="1:3" ht="15" thickBot="1" x14ac:dyDescent="0.25">
      <c r="A33" s="16" t="s">
        <v>98</v>
      </c>
      <c r="B33" s="17">
        <f t="shared" si="2"/>
        <v>279.15958878992387</v>
      </c>
      <c r="C33" s="18">
        <f t="shared" si="0"/>
        <v>3.5900000000000043E-2</v>
      </c>
    </row>
    <row r="34" spans="1:3" ht="15" thickBot="1" x14ac:dyDescent="0.25">
      <c r="A34" s="16" t="s">
        <v>99</v>
      </c>
      <c r="B34" s="17">
        <f t="shared" si="2"/>
        <v>289.18141802748215</v>
      </c>
      <c r="C34" s="18">
        <f t="shared" si="0"/>
        <v>3.5900000000000043E-2</v>
      </c>
    </row>
    <row r="35" spans="1:3" ht="15" thickBot="1" x14ac:dyDescent="0.25">
      <c r="A35" s="16" t="s">
        <v>100</v>
      </c>
      <c r="B35" s="17">
        <f t="shared" si="2"/>
        <v>299.5630309346688</v>
      </c>
      <c r="C35" s="18">
        <f t="shared" si="0"/>
        <v>3.5900000000000043E-2</v>
      </c>
    </row>
    <row r="36" spans="1:3" ht="15" thickBot="1" x14ac:dyDescent="0.25">
      <c r="A36" s="16" t="s">
        <v>101</v>
      </c>
      <c r="B36" s="17">
        <f t="shared" si="2"/>
        <v>310.31734374522341</v>
      </c>
      <c r="C36" s="18">
        <f t="shared" si="0"/>
        <v>3.5900000000000043E-2</v>
      </c>
    </row>
    <row r="37" spans="1:3" ht="15" thickBot="1" x14ac:dyDescent="0.25">
      <c r="A37" s="16" t="s">
        <v>105</v>
      </c>
      <c r="B37" s="17">
        <f t="shared" si="2"/>
        <v>321.45773638567692</v>
      </c>
      <c r="C37" s="18">
        <f t="shared" si="0"/>
        <v>3.5900000000000043E-2</v>
      </c>
    </row>
    <row r="38" spans="1:3" ht="15" thickBot="1" x14ac:dyDescent="0.25">
      <c r="A38" s="16" t="s">
        <v>102</v>
      </c>
      <c r="B38" s="17">
        <f t="shared" si="2"/>
        <v>332.99806912192275</v>
      </c>
      <c r="C38" s="18">
        <f t="shared" si="0"/>
        <v>3.5900000000000043E-2</v>
      </c>
    </row>
    <row r="39" spans="1:3" ht="15" thickBot="1" x14ac:dyDescent="0.25">
      <c r="A39" s="16" t="s">
        <v>103</v>
      </c>
      <c r="B39" s="17">
        <f t="shared" si="2"/>
        <v>344.95269980339981</v>
      </c>
      <c r="C39" s="18">
        <f t="shared" si="0"/>
        <v>3.5900000000000043E-2</v>
      </c>
    </row>
    <row r="40" spans="1:3" x14ac:dyDescent="0.2">
      <c r="A40" s="16" t="s">
        <v>104</v>
      </c>
      <c r="B40" s="17">
        <f t="shared" si="2"/>
        <v>357.33650172634185</v>
      </c>
      <c r="C40" s="18">
        <f t="shared" si="0"/>
        <v>3.5900000000000043E-2</v>
      </c>
    </row>
  </sheetData>
  <mergeCells count="1">
    <mergeCell ref="H3:L3"/>
  </mergeCells>
  <phoneticPr fontId="20" type="noConversion"/>
  <hyperlinks>
    <hyperlink ref="H5" r:id="rId1" display="https://www.rava.com/empresas/perfil.php?e=DOLAR%20OFICIAL" xr:uid="{EC714E2E-13A5-4B76-B00B-8DFFEFB6A51D}"/>
    <hyperlink ref="H6" r:id="rId2" display="https://www.rava.com/empresas/perfil.php?e=DOLAR%20MAYORISTA" xr:uid="{40CAF4AD-C6B5-4438-A2B7-96F7FCD865FA}"/>
    <hyperlink ref="H7" r:id="rId3" display="https://www.rava.com/empresas/perfil.php?e=DOLAR%20SOLIDARIO" xr:uid="{1F53BF19-095E-471E-8F2F-F5C5E6897E1F}"/>
    <hyperlink ref="H8" r:id="rId4" display="https://www.rava.com/empresas/perfil.php?e=DOLAR%20MEP" xr:uid="{70F86A6C-54E7-47A5-ABEE-1E90F63605C4}"/>
    <hyperlink ref="H9" r:id="rId5" display="https://www.rava.com/empresas/perfil.php?e=DOLAR%20CCL" xr:uid="{F6977A4E-8C24-498E-B70A-1413363FFC65}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3yr_CashFlow 7M</vt:lpstr>
      <vt:lpstr>Supuestos</vt:lpstr>
      <vt:lpstr>'3yr_CashFlow 7M'!Área_de_impresión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Statement</dc:title>
  <dc:creator>Vertex42.com</dc:creator>
  <dc:description>(c) 2008-2020 Vertex42 LLC. All Rights Reserved.</dc:description>
  <cp:lastModifiedBy>User</cp:lastModifiedBy>
  <cp:lastPrinted>2014-04-11T21:36:32Z</cp:lastPrinted>
  <dcterms:created xsi:type="dcterms:W3CDTF">2011-05-30T15:09:20Z</dcterms:created>
  <dcterms:modified xsi:type="dcterms:W3CDTF">2021-04-29T13:18:54Z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1.3.2</vt:lpwstr>
  </property>
  <property fmtid="{D5CDD505-2E9C-101B-9397-08002B2CF9AE}" pid="4" name="Source">
    <vt:lpwstr>https://www.vertex42.com/ExcelTemplates/cash-flow-statement.html</vt:lpwstr>
  </property>
</Properties>
</file>